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-fsv\FileSV01\limited\C_DOKUSHO\国際児童文学館\Ａ資料について\展示用資料貸出パック\ピーター・パン展示パック051000\202411_HPリスト修正【最新リストはここにあります】\"/>
    </mc:Choice>
  </mc:AlternateContent>
  <xr:revisionPtr revIDLastSave="0" documentId="13_ncr:1_{0189F2F9-01AB-4453-9478-8155E05FD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貸出申込書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5" l="1"/>
  <c r="G74" i="5" l="1"/>
  <c r="F74" i="5"/>
  <c r="E74" i="5"/>
  <c r="D74" i="5"/>
  <c r="C74" i="5"/>
  <c r="G73" i="5"/>
  <c r="F73" i="5"/>
  <c r="E73" i="5"/>
  <c r="D73" i="5"/>
  <c r="C73" i="5"/>
  <c r="G72" i="5"/>
  <c r="F72" i="5"/>
  <c r="E72" i="5"/>
  <c r="D72" i="5"/>
  <c r="C72" i="5"/>
  <c r="G71" i="5"/>
  <c r="F71" i="5"/>
  <c r="E71" i="5"/>
  <c r="D71" i="5"/>
  <c r="C71" i="5"/>
  <c r="G70" i="5"/>
  <c r="F70" i="5"/>
  <c r="E70" i="5"/>
  <c r="D70" i="5"/>
  <c r="C70" i="5"/>
  <c r="G69" i="5"/>
  <c r="F69" i="5"/>
  <c r="E69" i="5"/>
  <c r="D69" i="5"/>
  <c r="C69" i="5"/>
  <c r="G68" i="5"/>
  <c r="F68" i="5"/>
  <c r="E68" i="5"/>
  <c r="D68" i="5"/>
  <c r="C68" i="5"/>
  <c r="G67" i="5"/>
  <c r="F67" i="5"/>
  <c r="E67" i="5"/>
  <c r="D67" i="5"/>
  <c r="C67" i="5"/>
  <c r="G66" i="5"/>
  <c r="F66" i="5"/>
  <c r="E66" i="5"/>
  <c r="D66" i="5"/>
  <c r="C66" i="5"/>
  <c r="G65" i="5"/>
  <c r="F65" i="5"/>
  <c r="E65" i="5"/>
  <c r="D65" i="5"/>
  <c r="C65" i="5"/>
  <c r="G64" i="5"/>
  <c r="F64" i="5"/>
  <c r="E64" i="5"/>
  <c r="D64" i="5"/>
  <c r="C64" i="5"/>
  <c r="G63" i="5"/>
  <c r="F63" i="5"/>
  <c r="E63" i="5"/>
  <c r="D63" i="5"/>
  <c r="C63" i="5"/>
  <c r="G62" i="5"/>
  <c r="F62" i="5"/>
  <c r="E62" i="5"/>
  <c r="D62" i="5"/>
  <c r="C62" i="5"/>
  <c r="G61" i="5"/>
  <c r="F61" i="5"/>
  <c r="E61" i="5"/>
  <c r="D61" i="5"/>
  <c r="C61" i="5"/>
  <c r="G60" i="5"/>
  <c r="F60" i="5"/>
  <c r="E60" i="5"/>
  <c r="D60" i="5"/>
  <c r="C60" i="5"/>
  <c r="G59" i="5"/>
  <c r="F59" i="5"/>
  <c r="E59" i="5"/>
  <c r="D59" i="5"/>
  <c r="C59" i="5"/>
  <c r="G58" i="5"/>
  <c r="F58" i="5"/>
  <c r="E58" i="5"/>
  <c r="D58" i="5"/>
  <c r="C58" i="5"/>
  <c r="G57" i="5"/>
  <c r="F57" i="5"/>
  <c r="E57" i="5"/>
  <c r="D57" i="5"/>
  <c r="C57" i="5"/>
  <c r="G56" i="5"/>
  <c r="F56" i="5"/>
  <c r="E56" i="5"/>
  <c r="D56" i="5"/>
  <c r="C56" i="5"/>
  <c r="G55" i="5"/>
  <c r="F55" i="5"/>
  <c r="E55" i="5"/>
  <c r="D55" i="5"/>
  <c r="C55" i="5"/>
  <c r="G54" i="5"/>
  <c r="F54" i="5"/>
  <c r="E54" i="5"/>
  <c r="D54" i="5"/>
  <c r="C54" i="5"/>
  <c r="G53" i="5"/>
  <c r="F53" i="5"/>
  <c r="E53" i="5"/>
  <c r="D53" i="5"/>
  <c r="C53" i="5"/>
  <c r="G52" i="5"/>
  <c r="F52" i="5"/>
  <c r="E52" i="5"/>
  <c r="D52" i="5"/>
  <c r="C52" i="5"/>
  <c r="G51" i="5"/>
  <c r="F51" i="5"/>
  <c r="E51" i="5"/>
  <c r="D51" i="5"/>
  <c r="C51" i="5"/>
  <c r="G50" i="5"/>
  <c r="F50" i="5"/>
  <c r="E50" i="5"/>
  <c r="D50" i="5"/>
  <c r="G49" i="5"/>
  <c r="F49" i="5"/>
  <c r="E49" i="5"/>
  <c r="D49" i="5"/>
  <c r="C49" i="5"/>
  <c r="G48" i="5"/>
  <c r="F48" i="5"/>
  <c r="E48" i="5"/>
  <c r="D48" i="5"/>
  <c r="C48" i="5"/>
  <c r="G47" i="5"/>
  <c r="F47" i="5"/>
  <c r="E47" i="5"/>
  <c r="D47" i="5"/>
  <c r="C47" i="5"/>
  <c r="G46" i="5"/>
  <c r="F46" i="5"/>
  <c r="E46" i="5"/>
  <c r="D46" i="5"/>
  <c r="C46" i="5"/>
  <c r="G45" i="5"/>
  <c r="F45" i="5"/>
  <c r="D45" i="5"/>
  <c r="C45" i="5"/>
  <c r="G44" i="5"/>
  <c r="F44" i="5"/>
  <c r="E44" i="5"/>
  <c r="D44" i="5"/>
  <c r="G43" i="5"/>
  <c r="F43" i="5"/>
  <c r="E43" i="5"/>
  <c r="D43" i="5"/>
  <c r="C43" i="5"/>
  <c r="G42" i="5"/>
  <c r="F42" i="5"/>
  <c r="E42" i="5"/>
  <c r="D42" i="5"/>
  <c r="C42" i="5"/>
  <c r="G41" i="5"/>
  <c r="F41" i="5"/>
  <c r="E41" i="5"/>
  <c r="D41" i="5"/>
  <c r="C41" i="5"/>
  <c r="G40" i="5"/>
  <c r="F40" i="5"/>
  <c r="E40" i="5"/>
  <c r="D40" i="5"/>
  <c r="C40" i="5"/>
  <c r="G39" i="5"/>
  <c r="F39" i="5"/>
  <c r="E39" i="5"/>
  <c r="D39" i="5"/>
  <c r="C39" i="5"/>
  <c r="G38" i="5"/>
  <c r="F38" i="5"/>
  <c r="E38" i="5"/>
  <c r="D38" i="5"/>
  <c r="C38" i="5"/>
  <c r="G37" i="5"/>
  <c r="F37" i="5"/>
  <c r="E37" i="5"/>
  <c r="D37" i="5"/>
  <c r="C37" i="5"/>
  <c r="G36" i="5"/>
  <c r="F36" i="5"/>
  <c r="E36" i="5"/>
  <c r="D36" i="5"/>
  <c r="C36" i="5"/>
  <c r="G34" i="5"/>
  <c r="F34" i="5"/>
  <c r="E34" i="5"/>
  <c r="D34" i="5"/>
  <c r="C34" i="5"/>
  <c r="D33" i="5"/>
  <c r="C33" i="5"/>
  <c r="D32" i="5"/>
  <c r="C32" i="5"/>
  <c r="D31" i="5"/>
  <c r="C31" i="5"/>
  <c r="G30" i="5"/>
  <c r="F30" i="5"/>
  <c r="E30" i="5"/>
  <c r="D30" i="5"/>
  <c r="C30" i="5"/>
  <c r="G29" i="5"/>
  <c r="F29" i="5"/>
  <c r="E29" i="5"/>
  <c r="C29" i="5"/>
  <c r="G28" i="5"/>
  <c r="F28" i="5"/>
  <c r="E28" i="5"/>
  <c r="D28" i="5"/>
  <c r="C28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G22" i="5"/>
  <c r="F22" i="5"/>
  <c r="E22" i="5"/>
  <c r="D22" i="5"/>
  <c r="C22" i="5"/>
  <c r="G21" i="5"/>
  <c r="F21" i="5"/>
  <c r="E21" i="5"/>
  <c r="D21" i="5"/>
  <c r="C21" i="5"/>
  <c r="G20" i="5"/>
  <c r="F20" i="5"/>
  <c r="E20" i="5"/>
  <c r="D20" i="5"/>
  <c r="C20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C17" i="5"/>
  <c r="G16" i="5"/>
  <c r="F16" i="5"/>
  <c r="D16" i="5"/>
  <c r="C16" i="5"/>
  <c r="G15" i="5"/>
  <c r="F15" i="5"/>
  <c r="E15" i="5"/>
  <c r="D15" i="5"/>
  <c r="C15" i="5"/>
  <c r="G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G10" i="5"/>
  <c r="F10" i="5"/>
  <c r="E10" i="5"/>
  <c r="D10" i="5"/>
  <c r="C10" i="5"/>
  <c r="G9" i="5"/>
  <c r="F9" i="5"/>
  <c r="E9" i="5"/>
  <c r="D9" i="5"/>
  <c r="C9" i="5"/>
  <c r="G8" i="5"/>
  <c r="F8" i="5"/>
  <c r="E8" i="5"/>
  <c r="D8" i="5"/>
  <c r="C8" i="5"/>
  <c r="G7" i="5"/>
  <c r="F7" i="5"/>
  <c r="E7" i="5"/>
  <c r="D7" i="5"/>
  <c r="C7" i="5"/>
  <c r="G6" i="5"/>
  <c r="F6" i="5"/>
  <c r="E6" i="5"/>
  <c r="C6" i="5"/>
  <c r="G5" i="5"/>
  <c r="F5" i="5"/>
  <c r="E5" i="5"/>
  <c r="C5" i="5"/>
</calcChain>
</file>

<file path=xl/sharedStrings.xml><?xml version="1.0" encoding="utf-8"?>
<sst xmlns="http://schemas.openxmlformats.org/spreadsheetml/2006/main" count="34" uniqueCount="29">
  <si>
    <t>書名・誌名・叢書名</t>
    <rPh sb="0" eb="2">
      <t>ショメイ</t>
    </rPh>
    <rPh sb="3" eb="5">
      <t>シメイ</t>
    </rPh>
    <rPh sb="6" eb="8">
      <t>ソウショ</t>
    </rPh>
    <rPh sb="8" eb="9">
      <t>メイ</t>
    </rPh>
    <phoneticPr fontId="2"/>
  </si>
  <si>
    <t>著者名</t>
    <rPh sb="0" eb="2">
      <t>チョシャ</t>
    </rPh>
    <rPh sb="2" eb="3">
      <t>メイ</t>
    </rPh>
    <phoneticPr fontId="2"/>
  </si>
  <si>
    <t>出版年</t>
    <rPh sb="2" eb="3">
      <t>ネン</t>
    </rPh>
    <phoneticPr fontId="2"/>
  </si>
  <si>
    <t>出版者</t>
    <rPh sb="0" eb="2">
      <t>シュッパン</t>
    </rPh>
    <rPh sb="2" eb="3">
      <t>シャ</t>
    </rPh>
    <phoneticPr fontId="2"/>
  </si>
  <si>
    <t>請求記号</t>
  </si>
  <si>
    <t>James M. Barrie Daniel O’Connor/Adapted by Alice B. Woodward/Original Illus. by Thea Kliros/Full-Page Plates Adapted by</t>
    <phoneticPr fontId="2"/>
  </si>
  <si>
    <t xml:space="preserve">The Peter Pan Chronicles : The Nearly 100 Year History of “The Boy Who Wouldn’t Grow Up” </t>
    <phoneticPr fontId="2"/>
  </si>
  <si>
    <t>出版年不明</t>
    <rPh sb="0" eb="3">
      <t>シュッパンネン</t>
    </rPh>
    <rPh sb="3" eb="5">
      <t>フメイ</t>
    </rPh>
    <phoneticPr fontId="2"/>
  </si>
  <si>
    <r>
      <rPr>
        <sz val="8"/>
        <color theme="1"/>
        <rFont val="ＭＳ Ｐゴシック"/>
        <family val="3"/>
        <charset val="128"/>
        <scheme val="minor"/>
      </rPr>
      <t>[ジェームズ/マシュー/バリー∥原作]</t>
    </r>
    <r>
      <rPr>
        <sz val="10"/>
        <color theme="1"/>
        <rFont val="ＭＳ Ｐゴシック"/>
        <family val="3"/>
        <charset val="128"/>
        <scheme val="minor"/>
      </rPr>
      <t xml:space="preserve"> 立石/美和∥著 羽鳥/古山∥装幀・挿画</t>
    </r>
    <phoneticPr fontId="2"/>
  </si>
  <si>
    <t>赤い鳥社</t>
    <phoneticPr fontId="2"/>
  </si>
  <si>
    <t>J・M・バリー/作 アーサー・ラッカム/絵 高橋康也/訳 高橋迪/訳</t>
    <phoneticPr fontId="2"/>
  </si>
  <si>
    <t>ジェイムズ・M・バリ/著 鈴木重敏/訳 東逸子/挿絵</t>
    <phoneticPr fontId="2"/>
  </si>
  <si>
    <t>-</t>
    <phoneticPr fontId="2"/>
  </si>
  <si>
    <t>CHARLES SCRIBNER’S SONS</t>
    <phoneticPr fontId="2"/>
  </si>
  <si>
    <t>国際児童文学館展示用貸出パック「ピーター・パンの世界」貸出依頼書(別紙)</t>
    <rPh sb="0" eb="7">
      <t>コクサイジドウブンガクカン</t>
    </rPh>
    <rPh sb="7" eb="9">
      <t>テンジ</t>
    </rPh>
    <rPh sb="9" eb="10">
      <t>ヨウ</t>
    </rPh>
    <rPh sb="10" eb="12">
      <t>カシダシ</t>
    </rPh>
    <rPh sb="24" eb="26">
      <t>セカイ</t>
    </rPh>
    <rPh sb="27" eb="29">
      <t>カシダシ</t>
    </rPh>
    <rPh sb="29" eb="31">
      <t>イライ</t>
    </rPh>
    <rPh sb="31" eb="32">
      <t>ショ</t>
    </rPh>
    <rPh sb="33" eb="35">
      <t>ベッシ</t>
    </rPh>
    <phoneticPr fontId="11"/>
  </si>
  <si>
    <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「赤ん坊」のピーターが登場する物語</t>
    </r>
    <phoneticPr fontId="2"/>
  </si>
  <si>
    <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「少年」のピーターが登場する物語</t>
    </r>
    <phoneticPr fontId="2"/>
  </si>
  <si>
    <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初期翻訳・翻案</t>
    </r>
    <phoneticPr fontId="2"/>
  </si>
  <si>
    <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舞台やスクリーンでのピーター</t>
    </r>
    <phoneticPr fontId="2"/>
  </si>
  <si>
    <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いろいろなピーター・パン</t>
    </r>
    <phoneticPr fontId="2"/>
  </si>
  <si>
    <t>全て希望</t>
    <rPh sb="0" eb="1">
      <t>スベ</t>
    </rPh>
    <rPh sb="2" eb="4">
      <t>キボウ</t>
    </rPh>
    <phoneticPr fontId="11"/>
  </si>
  <si>
    <t>貸出希望</t>
    <rPh sb="0" eb="2">
      <t>カシダシ</t>
    </rPh>
    <rPh sb="2" eb="4">
      <t>キボウ</t>
    </rPh>
    <phoneticPr fontId="11"/>
  </si>
  <si>
    <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 xml:space="preserve">新たなピーター・パン
</t>
    </r>
    <phoneticPr fontId="2"/>
  </si>
  <si>
    <t>作者と作品誕生の背景</t>
  </si>
  <si>
    <t>＊は復刻版です。</t>
    <rPh sb="2" eb="4">
      <t>フッコク</t>
    </rPh>
    <rPh sb="4" eb="5">
      <t>ハン</t>
    </rPh>
    <phoneticPr fontId="2"/>
  </si>
  <si>
    <t>カタカナ読本 Bノ巻</t>
    <phoneticPr fontId="2"/>
  </si>
  <si>
    <t xml:space="preserve">深山晃/編 </t>
    <phoneticPr fontId="2"/>
  </si>
  <si>
    <t xml:space="preserve">春洋社/発兌 </t>
  </si>
  <si>
    <t xml:space="preserve">N310105/3-B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</si>
</sst>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4" xfId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Fill="1">
      <alignment vertical="center"/>
    </xf>
    <xf numFmtId="0" fontId="1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10" xfId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4" xfId="1" applyFont="1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49" fontId="5" fillId="3" borderId="18" xfId="1" applyNumberFormat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shrinkToFi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12" fillId="0" borderId="2" xfId="0" applyFont="1" applyBorder="1" applyAlignment="1">
      <alignment horizontal="center" shrinkToFit="1"/>
    </xf>
    <xf numFmtId="0" fontId="8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0" fillId="0" borderId="22" xfId="0" applyBorder="1" applyAlignment="1">
      <alignment wrapText="1"/>
    </xf>
    <xf numFmtId="0" fontId="1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24" xfId="1" applyFont="1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4" fillId="0" borderId="26" xfId="1" applyFont="1" applyFill="1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</cellXfs>
  <cellStyles count="3">
    <cellStyle name="標準" xfId="0" builtinId="0"/>
    <cellStyle name="標準_Sheet1" xfId="1" xr:uid="{00000000-0005-0000-0000-000001000000}"/>
    <cellStyle name="標準_フランダース展示リスト　資料用428_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zoomScale="90" zoomScaleNormal="90" workbookViewId="0">
      <selection activeCell="C41" sqref="C41"/>
    </sheetView>
  </sheetViews>
  <sheetFormatPr defaultRowHeight="12" x14ac:dyDescent="0.15"/>
  <cols>
    <col min="1" max="1" width="13.875" style="3" customWidth="1"/>
    <col min="2" max="2" width="3" style="2" customWidth="1"/>
    <col min="3" max="3" width="40.875" style="1" customWidth="1"/>
    <col min="4" max="4" width="60.25" style="1" customWidth="1"/>
    <col min="5" max="5" width="8.25" style="14" customWidth="1"/>
    <col min="6" max="6" width="23.5" style="1" customWidth="1"/>
    <col min="7" max="7" width="17.5" style="2" customWidth="1"/>
    <col min="8" max="16384" width="9" style="3"/>
  </cols>
  <sheetData>
    <row r="1" spans="1:9" ht="18.75" customHeight="1" thickBot="1" x14ac:dyDescent="0.25">
      <c r="A1" s="50" t="s">
        <v>14</v>
      </c>
      <c r="B1" s="50"/>
      <c r="C1" s="50"/>
      <c r="D1" s="50"/>
      <c r="E1" s="50"/>
      <c r="F1" s="50"/>
      <c r="G1" s="50"/>
      <c r="H1" s="50"/>
      <c r="I1" s="50"/>
    </row>
    <row r="2" spans="1:9" s="5" customFormat="1" ht="18.75" customHeight="1" thickBot="1" x14ac:dyDescent="0.2">
      <c r="A2" s="51"/>
      <c r="B2" s="51"/>
      <c r="C2" s="51"/>
      <c r="D2" s="52"/>
      <c r="E2" s="14"/>
      <c r="F2" s="1"/>
      <c r="G2" s="2"/>
      <c r="H2" s="44" t="s">
        <v>20</v>
      </c>
      <c r="I2" s="3"/>
    </row>
    <row r="3" spans="1:9" s="5" customFormat="1" ht="18.75" customHeight="1" thickBot="1" x14ac:dyDescent="0.2">
      <c r="A3" s="21"/>
      <c r="B3" s="29"/>
      <c r="C3" s="29"/>
      <c r="D3" s="30"/>
      <c r="E3" s="14"/>
      <c r="F3" s="1"/>
      <c r="G3" s="2"/>
      <c r="H3" s="43"/>
      <c r="I3" s="3"/>
    </row>
    <row r="4" spans="1:9" s="8" customFormat="1" ht="18.75" customHeight="1" thickBot="1" x14ac:dyDescent="0.2">
      <c r="A4" s="4"/>
      <c r="B4" s="42"/>
      <c r="C4" s="41" t="s">
        <v>0</v>
      </c>
      <c r="D4" s="38" t="s">
        <v>1</v>
      </c>
      <c r="E4" s="37" t="s">
        <v>2</v>
      </c>
      <c r="F4" s="38" t="s">
        <v>3</v>
      </c>
      <c r="G4" s="39" t="s">
        <v>4</v>
      </c>
      <c r="H4" s="40" t="s">
        <v>21</v>
      </c>
      <c r="I4" s="5"/>
    </row>
    <row r="5" spans="1:9" ht="18.75" customHeight="1" x14ac:dyDescent="0.15">
      <c r="A5" s="53" t="s">
        <v>15</v>
      </c>
      <c r="B5" s="31">
        <v>1</v>
      </c>
      <c r="C5" s="35" t="str">
        <f>"小さな白い鳥 "</f>
        <v xml:space="preserve">小さな白い鳥 </v>
      </c>
      <c r="D5" s="35" t="s">
        <v>11</v>
      </c>
      <c r="E5" s="34" t="str">
        <f>"2003"</f>
        <v>2003</v>
      </c>
      <c r="F5" s="35" t="str">
        <f>"パロル舎"</f>
        <v>パロル舎</v>
      </c>
      <c r="G5" s="36" t="str">
        <f>"T030320/13"</f>
        <v>T030320/13</v>
      </c>
      <c r="H5" s="33"/>
      <c r="I5" s="8"/>
    </row>
    <row r="6" spans="1:9" s="8" customFormat="1" ht="18.75" customHeight="1" x14ac:dyDescent="0.15">
      <c r="A6" s="54"/>
      <c r="B6" s="6">
        <v>2</v>
      </c>
      <c r="C6" s="7" t="str">
        <f>"ピーター・パン(ペーパームーン叢書) "</f>
        <v xml:space="preserve">ピーター・パン(ペーパームーン叢書) </v>
      </c>
      <c r="D6" s="7" t="s">
        <v>10</v>
      </c>
      <c r="E6" s="15" t="str">
        <f>"1982"</f>
        <v>1982</v>
      </c>
      <c r="F6" s="7" t="str">
        <f>"新書館"</f>
        <v>新書館</v>
      </c>
      <c r="G6" s="22" t="str">
        <f>"N820125/10/2"</f>
        <v>N820125/10/2</v>
      </c>
      <c r="H6" s="26"/>
      <c r="I6" s="3"/>
    </row>
    <row r="7" spans="1:9" s="8" customFormat="1" ht="18.75" customHeight="1" x14ac:dyDescent="0.15">
      <c r="A7" s="54"/>
      <c r="B7" s="6">
        <v>3</v>
      </c>
      <c r="C7" s="7" t="str">
        <f>"ピーター・パン(新潮文庫 588) "</f>
        <v xml:space="preserve">ピーター・パン(新潮文庫 588) </v>
      </c>
      <c r="D7" s="7" t="str">
        <f>"ジェームズ・バリ∥著 本多/顕彰∥訳"</f>
        <v>ジェームズ・バリ∥著 本多/顕彰∥訳</v>
      </c>
      <c r="E7" s="15" t="str">
        <f>"1953"</f>
        <v>1953</v>
      </c>
      <c r="F7" s="7" t="str">
        <f>"新潮社"</f>
        <v>新潮社</v>
      </c>
      <c r="G7" s="22" t="str">
        <f>"N531031/1/37"</f>
        <v>N531031/1/37</v>
      </c>
      <c r="H7" s="26"/>
    </row>
    <row r="8" spans="1:9" s="8" customFormat="1" ht="18.75" customHeight="1" x14ac:dyDescent="0.15">
      <c r="A8" s="54"/>
      <c r="B8" s="6">
        <v>4</v>
      </c>
      <c r="C8" s="7" t="str">
        <f>"THE LITTLE WHITE BIRD "</f>
        <v xml:space="preserve">THE LITTLE WHITE BIRD </v>
      </c>
      <c r="D8" s="7" t="str">
        <f>"J.M.BARRIE/BY"</f>
        <v>J.M.BARRIE/BY</v>
      </c>
      <c r="E8" s="15" t="str">
        <f>"1902"</f>
        <v>1902</v>
      </c>
      <c r="F8" s="9" t="str">
        <f>"HODDER AND STOUGHTON"</f>
        <v>HODDER AND STOUGHTON</v>
      </c>
      <c r="G8" s="22" t="str">
        <f>"001_ABB/3590"</f>
        <v>001_ABB/3590</v>
      </c>
      <c r="H8" s="26"/>
    </row>
    <row r="9" spans="1:9" ht="18.600000000000001" customHeight="1" thickBot="1" x14ac:dyDescent="0.2">
      <c r="A9" s="55"/>
      <c r="B9" s="12">
        <v>5</v>
      </c>
      <c r="C9" s="10" t="str">
        <f>"PETER PAN IN KENSINGTON GARDENS "</f>
        <v xml:space="preserve">PETER PAN IN KENSINGTON GARDENS </v>
      </c>
      <c r="D9" s="10" t="str">
        <f>"J.M.BARRIE/BY ARTHUR RACKHAM/DRAWINGS BY"</f>
        <v>J.M.BARRIE/BY ARTHUR RACKHAM/DRAWINGS BY</v>
      </c>
      <c r="E9" s="16" t="str">
        <f>"1916"</f>
        <v>1916</v>
      </c>
      <c r="F9" s="45" t="str">
        <f>"CHARLES SCRIBNER’S SONS"</f>
        <v>CHARLES SCRIBNER’S SONS</v>
      </c>
      <c r="G9" s="23" t="str">
        <f>"001_ABB/3583"</f>
        <v>001_ABB/3583</v>
      </c>
      <c r="H9" s="32"/>
      <c r="I9" s="8"/>
    </row>
    <row r="10" spans="1:9" ht="18.75" customHeight="1" x14ac:dyDescent="0.15">
      <c r="A10" s="53" t="s">
        <v>16</v>
      </c>
      <c r="B10" s="31">
        <v>6</v>
      </c>
      <c r="C10" s="11" t="str">
        <f>"ピーター・パンとウェンディ(福音館文庫 C-8) "</f>
        <v xml:space="preserve">ピーター・パンとウェンディ(福音館文庫 C-8) </v>
      </c>
      <c r="D10" s="11" t="str">
        <f>"J.M.バリー∥作 石井/桃子∥訳 F.D.ベッドフォード∥画 "</f>
        <v xml:space="preserve">J.M.バリー∥作 石井/桃子∥訳 F.D.ベッドフォード∥画 </v>
      </c>
      <c r="E10" s="17" t="str">
        <f>"2003"</f>
        <v>2003</v>
      </c>
      <c r="F10" s="11" t="str">
        <f>"福音館書店"</f>
        <v>福音館書店</v>
      </c>
      <c r="G10" s="24" t="str">
        <f>"T020620/16-C-8"</f>
        <v>T020620/16-C-8</v>
      </c>
      <c r="H10" s="33"/>
    </row>
    <row r="11" spans="1:9" ht="18.75" customHeight="1" x14ac:dyDescent="0.15">
      <c r="A11" s="54"/>
      <c r="B11" s="6">
        <v>7</v>
      </c>
      <c r="C11" s="7" t="str">
        <f>"ピーター・パン(岩波少年文庫 073) "</f>
        <v xml:space="preserve">ピーター・パン(岩波少年文庫 073) </v>
      </c>
      <c r="D11" s="7" t="str">
        <f>"J.M.バリ∥作 厨川/圭子∥訳"</f>
        <v>J.M.バリ∥作 厨川/圭子∥訳</v>
      </c>
      <c r="E11" s="15" t="str">
        <f>"2000"</f>
        <v>2000</v>
      </c>
      <c r="F11" s="7" t="str">
        <f>"岩波書店"</f>
        <v>岩波書店</v>
      </c>
      <c r="G11" s="25" t="str">
        <f>"N501225/1-A-85/S"</f>
        <v>N501225/1-A-85/S</v>
      </c>
      <c r="H11" s="27"/>
    </row>
    <row r="12" spans="1:9" ht="18.75" customHeight="1" x14ac:dyDescent="0.15">
      <c r="A12" s="54"/>
      <c r="B12" s="6">
        <v>8</v>
      </c>
      <c r="C12" s="7" t="str">
        <f>"ピーター・パンとウェンディ(偕成社文庫 3168) "</f>
        <v xml:space="preserve">ピーター・パンとウェンディ(偕成社文庫 3168) </v>
      </c>
      <c r="D12" s="7" t="str">
        <f>"J.M.バリ∥作 芹生/一∥訳"</f>
        <v>J.M.バリ∥作 芹生/一∥訳</v>
      </c>
      <c r="E12" s="15" t="str">
        <f>"1989"</f>
        <v>1989</v>
      </c>
      <c r="F12" s="7" t="str">
        <f>"偕成社"</f>
        <v>偕成社</v>
      </c>
      <c r="G12" s="22" t="str">
        <f>"N751100/1-3168"</f>
        <v>N751100/1-3168</v>
      </c>
      <c r="H12" s="26"/>
    </row>
    <row r="13" spans="1:9" ht="18.75" customHeight="1" x14ac:dyDescent="0.15">
      <c r="A13" s="54"/>
      <c r="B13" s="6">
        <v>9</v>
      </c>
      <c r="C13" s="7" t="str">
        <f>"ピーター・パンの冒険(フォア文庫 C 87) "</f>
        <v xml:space="preserve">ピーター・パンの冒険(フォア文庫 C 87) </v>
      </c>
      <c r="D13" s="7" t="str">
        <f>"バリ∥作 渡辺/南都子∥訳 伊藤/悌夫∥画"</f>
        <v>バリ∥作 渡辺/南都子∥訳 伊藤/悌夫∥画</v>
      </c>
      <c r="E13" s="15" t="str">
        <f>"1989"</f>
        <v>1989</v>
      </c>
      <c r="F13" s="7" t="str">
        <f>"童心社"</f>
        <v>童心社</v>
      </c>
      <c r="G13" s="22" t="str">
        <f>"N791000/1-C-87"</f>
        <v>N791000/1-C-87</v>
      </c>
      <c r="H13" s="26"/>
    </row>
    <row r="14" spans="1:9" ht="18.75" customHeight="1" x14ac:dyDescent="0.15">
      <c r="A14" s="54"/>
      <c r="B14" s="6">
        <v>10</v>
      </c>
      <c r="C14" s="7" t="str">
        <f>"PETER AND WENDY "</f>
        <v xml:space="preserve">PETER AND WENDY </v>
      </c>
      <c r="D14" s="7" t="str">
        <f>"J・M・BARRIE/BY F・D・BEDFORD/ILLUSTRATED BY"</f>
        <v>J・M・BARRIE/BY F・D・BEDFORD/ILLUSTRATED BY</v>
      </c>
      <c r="E14" s="15" t="str">
        <f>"1911"</f>
        <v>1911</v>
      </c>
      <c r="F14" s="20" t="s">
        <v>13</v>
      </c>
      <c r="G14" s="22" t="str">
        <f>"001_ABB/3589"</f>
        <v>001_ABB/3589</v>
      </c>
      <c r="H14" s="28"/>
    </row>
    <row r="15" spans="1:9" ht="18.75" customHeight="1" x14ac:dyDescent="0.15">
      <c r="A15" s="54"/>
      <c r="B15" s="6">
        <v>11</v>
      </c>
      <c r="C15" s="7" t="str">
        <f>"ピーター・パンとウェンディ(幻の絵本館 5) "</f>
        <v xml:space="preserve">ピーター・パンとウェンディ(幻の絵本館 5) </v>
      </c>
      <c r="D15" s="7" t="str">
        <f>"J・M・バリ∥作 メイベル・L・アトウェル∥絵 田島/準子∥訳"</f>
        <v>J・M・バリ∥作 メイベル・L・アトウェル∥絵 田島/準子∥訳</v>
      </c>
      <c r="E15" s="15" t="str">
        <f>"1982"</f>
        <v>1982</v>
      </c>
      <c r="F15" s="7" t="str">
        <f>"立風書房"</f>
        <v>立風書房</v>
      </c>
      <c r="G15" s="22" t="str">
        <f>"N801210/1-5"</f>
        <v>N801210/1-5</v>
      </c>
      <c r="H15" s="26"/>
    </row>
    <row r="16" spans="1:9" ht="30" customHeight="1" x14ac:dyDescent="0.15">
      <c r="A16" s="54"/>
      <c r="B16" s="6">
        <v>12</v>
      </c>
      <c r="C16" s="7" t="str">
        <f>"PETER PAN &amp; WENDY : RETOLD FOR LITTLE PEOPLE "</f>
        <v xml:space="preserve">PETER PAN &amp; WENDY : RETOLD FOR LITTLE PEOPLE </v>
      </c>
      <c r="D16" s="9" t="str">
        <f>"J・M・BARRIE/BY MAY BYRON/RETOLD BY FOR LITTLE PEOPLE WITH THE APPROVAL OF THE AUTHOR MABEL LUCIE ATTWELL/PICTURES BY"</f>
        <v>J・M・BARRIE/BY MAY BYRON/RETOLD BY FOR LITTLE PEOPLE WITH THE APPROVAL OF THE AUTHOR MABEL LUCIE ATTWELL/PICTURES BY</v>
      </c>
      <c r="E16" s="18" t="s">
        <v>7</v>
      </c>
      <c r="F16" s="7" t="str">
        <f>"HODDER AND STOUGHTON LIMITED"</f>
        <v>HODDER AND STOUGHTON LIMITED</v>
      </c>
      <c r="G16" s="22" t="str">
        <f>"001_ABB/3585"</f>
        <v>001_ABB/3585</v>
      </c>
      <c r="H16" s="26"/>
    </row>
    <row r="17" spans="1:8" ht="30" customHeight="1" thickBot="1" x14ac:dyDescent="0.2">
      <c r="A17" s="55"/>
      <c r="B17" s="12">
        <v>13</v>
      </c>
      <c r="C17" s="10" t="str">
        <f>"The Story of Peter Pan : In Easy-to-Read Type(DOVER CHILDREN’S THRIFT CLASSICS) "</f>
        <v xml:space="preserve">The Story of Peter Pan : In Easy-to-Read Type(DOVER CHILDREN’S THRIFT CLASSICS) </v>
      </c>
      <c r="D17" s="10" t="s">
        <v>5</v>
      </c>
      <c r="E17" s="16" t="str">
        <f>"1992"</f>
        <v>1992</v>
      </c>
      <c r="F17" s="10" t="str">
        <f>"Dover Publications"</f>
        <v>Dover Publications</v>
      </c>
      <c r="G17" s="23" t="str">
        <f>"001_ABB/3667"</f>
        <v>001_ABB/3667</v>
      </c>
      <c r="H17" s="32"/>
    </row>
    <row r="18" spans="1:8" ht="18.75" customHeight="1" x14ac:dyDescent="0.15">
      <c r="A18" s="46" t="s">
        <v>17</v>
      </c>
      <c r="B18" s="31">
        <v>14</v>
      </c>
      <c r="C18" s="11" t="str">
        <f>"PETER PAN(英文世界名著全集 第32巻) "</f>
        <v xml:space="preserve">PETER PAN(英文世界名著全集 第32巻) </v>
      </c>
      <c r="D18" s="11" t="str">
        <f>"石井/眞峰∥訳註 JAMES/M.BARRIE∥[著]"</f>
        <v>石井/眞峰∥訳註 JAMES/M.BARRIE∥[著]</v>
      </c>
      <c r="E18" s="17" t="str">
        <f>"1927"</f>
        <v>1927</v>
      </c>
      <c r="F18" s="11" t="str">
        <f>"英文世界名著全集刊行所"</f>
        <v>英文世界名著全集刊行所</v>
      </c>
      <c r="G18" s="24" t="str">
        <f>"N270915/4-32"</f>
        <v>N270915/4-32</v>
      </c>
      <c r="H18" s="33"/>
    </row>
    <row r="19" spans="1:8" ht="18.75" customHeight="1" x14ac:dyDescent="0.15">
      <c r="A19" s="47"/>
      <c r="B19" s="6">
        <v>15</v>
      </c>
      <c r="C19" s="7" t="str">
        <f>"ピーター・パン(世界家庭文学名著選) "</f>
        <v xml:space="preserve">ピーター・パン(世界家庭文学名著選) </v>
      </c>
      <c r="D19" s="7" t="str">
        <f>"サア・ジェームス・バアリイ∥著 村上/正雄∥訳"</f>
        <v>サア・ジェームス・バアリイ∥著 村上/正雄∥訳</v>
      </c>
      <c r="E19" s="15" t="str">
        <f>"1927"</f>
        <v>1927</v>
      </c>
      <c r="F19" s="7" t="str">
        <f>"春秋社"</f>
        <v>春秋社</v>
      </c>
      <c r="G19" s="22" t="str">
        <f>"N230610/1-(10)"</f>
        <v>N230610/1-(10)</v>
      </c>
      <c r="H19" s="26"/>
    </row>
    <row r="20" spans="1:8" ht="18.75" customHeight="1" x14ac:dyDescent="0.15">
      <c r="A20" s="47"/>
      <c r="B20" s="6">
        <v>16</v>
      </c>
      <c r="C20" s="7" t="str">
        <f>"ピーターパン(小学生全集 第34巻) "</f>
        <v xml:space="preserve">ピーターパン(小学生全集 第34巻) </v>
      </c>
      <c r="D20" s="9" t="str">
        <f>"菊池/寛∥共訳 芥川/龍之介∥共訳 石川/寅吉∥編輯  一木/【弓亨】∥挿画"</f>
        <v>菊池/寛∥共訳 芥川/龍之介∥共訳 石川/寅吉∥編輯  一木/【弓亨】∥挿画</v>
      </c>
      <c r="E20" s="15" t="str">
        <f>"1929"</f>
        <v>1929</v>
      </c>
      <c r="F20" s="7" t="str">
        <f>"興文社"</f>
        <v>興文社</v>
      </c>
      <c r="G20" s="22" t="str">
        <f>"N270615/1-34"</f>
        <v>N270615/1-34</v>
      </c>
      <c r="H20" s="26"/>
    </row>
    <row r="21" spans="1:8" ht="18.75" customHeight="1" x14ac:dyDescent="0.15">
      <c r="A21" s="47"/>
      <c r="B21" s="6">
        <v>17</v>
      </c>
      <c r="C21" s="7" t="str">
        <f>"ピーターパン(世界家庭文学全集 第4巻) "</f>
        <v xml:space="preserve">ピーターパン(世界家庭文学全集 第4巻) </v>
      </c>
      <c r="D21" s="7" t="str">
        <f>"バリー∥作 中村/星湖∥訳"</f>
        <v>バリー∥作 中村/星湖∥訳</v>
      </c>
      <c r="E21" s="15" t="str">
        <f>"1931"</f>
        <v>1931</v>
      </c>
      <c r="F21" s="7" t="str">
        <f>"平凡社"</f>
        <v>平凡社</v>
      </c>
      <c r="G21" s="22" t="str">
        <f>"N300420/1-4"</f>
        <v>N300420/1-4</v>
      </c>
      <c r="H21" s="26"/>
    </row>
    <row r="22" spans="1:8" ht="30" customHeight="1" x14ac:dyDescent="0.15">
      <c r="A22" s="47"/>
      <c r="B22" s="6">
        <v>18</v>
      </c>
      <c r="C22" s="7" t="str">
        <f>"ピーター・パン : 一名、大人になりたがらぬ子(春陽堂少年文庫 87) "</f>
        <v xml:space="preserve">ピーター・パン : 一名、大人になりたがらぬ子(春陽堂少年文庫 87) </v>
      </c>
      <c r="D22" s="7" t="str">
        <f>"狩野/弘子∥著 バァリー∥[原作]"</f>
        <v>狩野/弘子∥著 バァリー∥[原作]</v>
      </c>
      <c r="E22" s="15" t="str">
        <f>"1932"</f>
        <v>1932</v>
      </c>
      <c r="F22" s="7" t="str">
        <f>"春陽堂"</f>
        <v>春陽堂</v>
      </c>
      <c r="G22" s="22" t="str">
        <f>"N321015/1-87"</f>
        <v>N321015/1-87</v>
      </c>
      <c r="H22" s="27"/>
    </row>
    <row r="23" spans="1:8" ht="18.75" customHeight="1" x14ac:dyDescent="0.15">
      <c r="A23" s="47"/>
      <c r="B23" s="6">
        <v>19</v>
      </c>
      <c r="C23" s="7" t="str">
        <f>"ピータァ・パン(岩波文庫 949) "</f>
        <v xml:space="preserve">ピータァ・パン(岩波文庫 949) </v>
      </c>
      <c r="D23" s="7" t="str">
        <f>"ヂェイ・エム・バリ∥作 本多/顕彰∥訳"</f>
        <v>ヂェイ・エム・バリ∥作 本多/顕彰∥訳</v>
      </c>
      <c r="E23" s="15" t="str">
        <f>"1933"</f>
        <v>1933</v>
      </c>
      <c r="F23" s="7" t="str">
        <f>"岩波書店"</f>
        <v>岩波書店</v>
      </c>
      <c r="G23" s="22" t="str">
        <f>"N331030/1"</f>
        <v>N331030/1</v>
      </c>
      <c r="H23" s="26"/>
    </row>
    <row r="24" spans="1:8" ht="18.75" customHeight="1" x14ac:dyDescent="0.15">
      <c r="A24" s="47"/>
      <c r="B24" s="6">
        <v>20</v>
      </c>
      <c r="C24" s="7" t="str">
        <f>"ピーターパンと一少女(世界名作家庭文庫 6) "</f>
        <v xml:space="preserve">ピーターパンと一少女(世界名作家庭文庫 6) </v>
      </c>
      <c r="D24" s="7" t="str">
        <f>"バリー∥作 森村/豊∥訳 恩地/孝四郎∥装釘"</f>
        <v>バリー∥作 森村/豊∥訳 恩地/孝四郎∥装釘</v>
      </c>
      <c r="E24" s="15" t="str">
        <f>"1940"</f>
        <v>1940</v>
      </c>
      <c r="F24" s="7" t="str">
        <f>"主婦之友社"</f>
        <v>主婦之友社</v>
      </c>
      <c r="G24" s="22" t="str">
        <f>"N401025/3-6"</f>
        <v>N401025/3-6</v>
      </c>
      <c r="H24" s="27"/>
    </row>
    <row r="25" spans="1:8" ht="18.75" customHeight="1" x14ac:dyDescent="0.15">
      <c r="A25" s="47"/>
      <c r="B25" s="6">
        <v>21</v>
      </c>
      <c r="C25" s="7" t="str">
        <f>"苺の国(赤い鳥叢書 第5冊) "</f>
        <v xml:space="preserve">苺の国(赤い鳥叢書 第5冊) </v>
      </c>
      <c r="D25" s="7" t="str">
        <f>"楠山/正雄∥著 清水/良雄∥画 鈴木/淳∥画"</f>
        <v>楠山/正雄∥著 清水/良雄∥画 鈴木/淳∥画</v>
      </c>
      <c r="E25" s="15" t="str">
        <f>"1927"</f>
        <v>1927</v>
      </c>
      <c r="F25" s="7" t="str">
        <f>"赤い鳥社"</f>
        <v>赤い鳥社</v>
      </c>
      <c r="G25" s="22" t="str">
        <f>"N241000/1-5"</f>
        <v>N241000/1-5</v>
      </c>
      <c r="H25" s="26"/>
    </row>
    <row r="26" spans="1:8" ht="18.75" customHeight="1" x14ac:dyDescent="0.15">
      <c r="A26" s="47"/>
      <c r="B26" s="6">
        <v>22</v>
      </c>
      <c r="C26" s="7" t="str">
        <f>"女学生 3(1) "</f>
        <v xml:space="preserve">女学生 3(1) </v>
      </c>
      <c r="D26" s="7" t="str">
        <f>""</f>
        <v/>
      </c>
      <c r="E26" s="15" t="str">
        <f>"1922"</f>
        <v>1922</v>
      </c>
      <c r="F26" s="7" t="str">
        <f>"研究社"</f>
        <v>研究社</v>
      </c>
      <c r="G26" s="22" t="str">
        <f>"BC_JOG/2/3-1"</f>
        <v>BC_JOG/2/3-1</v>
      </c>
      <c r="H26" s="26"/>
    </row>
    <row r="27" spans="1:8" ht="18.75" customHeight="1" x14ac:dyDescent="0.15">
      <c r="A27" s="47"/>
      <c r="B27" s="6">
        <v>23</v>
      </c>
      <c r="C27" s="7" t="str">
        <f>"女学生 3(2) "</f>
        <v xml:space="preserve">女学生 3(2) </v>
      </c>
      <c r="D27" s="7" t="str">
        <f>""</f>
        <v/>
      </c>
      <c r="E27" s="15" t="str">
        <f>"1922"</f>
        <v>1922</v>
      </c>
      <c r="F27" s="7" t="str">
        <f>"研究社"</f>
        <v>研究社</v>
      </c>
      <c r="G27" s="22" t="str">
        <f>"BC_JOG/2/3-2"</f>
        <v>BC_JOG/2/3-2</v>
      </c>
      <c r="H27" s="26"/>
    </row>
    <row r="28" spans="1:8" ht="18.75" customHeight="1" x14ac:dyDescent="0.15">
      <c r="A28" s="47"/>
      <c r="B28" s="6">
        <v>24</v>
      </c>
      <c r="C28" s="7" t="str">
        <f>"女学生 3(3) 3月号 "</f>
        <v xml:space="preserve">女学生 3(3) 3月号 </v>
      </c>
      <c r="D28" s="7" t="str">
        <f>""</f>
        <v/>
      </c>
      <c r="E28" s="15" t="str">
        <f>"1922"</f>
        <v>1922</v>
      </c>
      <c r="F28" s="7" t="str">
        <f>"研究社"</f>
        <v>研究社</v>
      </c>
      <c r="G28" s="22" t="str">
        <f>"BC_JOG/2/3-3"</f>
        <v>BC_JOG/2/3-3</v>
      </c>
      <c r="H28" s="26"/>
    </row>
    <row r="29" spans="1:8" ht="18.75" customHeight="1" x14ac:dyDescent="0.15">
      <c r="A29" s="47"/>
      <c r="B29" s="6">
        <v>25</v>
      </c>
      <c r="C29" s="7" t="str">
        <f>"ピーターパン物語(世界名作童話大系 8) "</f>
        <v xml:space="preserve">ピーターパン物語(世界名作童話大系 8) </v>
      </c>
      <c r="D29" s="9" t="s">
        <v>8</v>
      </c>
      <c r="E29" s="15" t="str">
        <f>"1927"</f>
        <v>1927</v>
      </c>
      <c r="F29" s="7" t="str">
        <f>"金の星社"</f>
        <v>金の星社</v>
      </c>
      <c r="G29" s="22" t="str">
        <f>"N270216/1-8"</f>
        <v>N270216/1-8</v>
      </c>
      <c r="H29" s="26"/>
    </row>
    <row r="30" spans="1:8" ht="18.75" customHeight="1" x14ac:dyDescent="0.15">
      <c r="A30" s="47"/>
      <c r="B30" s="6">
        <v>26</v>
      </c>
      <c r="C30" s="7" t="str">
        <f>"お伽絵本西洋の一寸法師ピーターパン "</f>
        <v xml:space="preserve">お伽絵本西洋の一寸法師ピーターパン </v>
      </c>
      <c r="D30" s="7" t="str">
        <f>"榎本/松之助∥画作"</f>
        <v>榎本/松之助∥画作</v>
      </c>
      <c r="E30" s="15" t="str">
        <f>"1927"</f>
        <v>1927</v>
      </c>
      <c r="F30" s="7" t="str">
        <f>"榎本法令舘"</f>
        <v>榎本法令舘</v>
      </c>
      <c r="G30" s="22" t="str">
        <f>"N270405/5N"</f>
        <v>N270405/5N</v>
      </c>
      <c r="H30" s="26"/>
    </row>
    <row r="31" spans="1:8" ht="18.75" customHeight="1" x14ac:dyDescent="0.15">
      <c r="A31" s="47"/>
      <c r="B31" s="6">
        <v>27</v>
      </c>
      <c r="C31" s="7" t="str">
        <f>"赤い鳥 18(5)5月号＊ "</f>
        <v xml:space="preserve">赤い鳥 18(5)5月号＊ </v>
      </c>
      <c r="D31" s="7" t="str">
        <f>""</f>
        <v/>
      </c>
      <c r="E31" s="15">
        <v>1927</v>
      </c>
      <c r="F31" s="7" t="s">
        <v>9</v>
      </c>
      <c r="G31" s="22" t="s">
        <v>12</v>
      </c>
      <c r="H31" s="26"/>
    </row>
    <row r="32" spans="1:8" ht="18.75" customHeight="1" x14ac:dyDescent="0.15">
      <c r="A32" s="47"/>
      <c r="B32" s="6">
        <v>28</v>
      </c>
      <c r="C32" s="7" t="str">
        <f>"赤い鳥 18(6)6月号＊ "</f>
        <v xml:space="preserve">赤い鳥 18(6)6月号＊ </v>
      </c>
      <c r="D32" s="7" t="str">
        <f>""</f>
        <v/>
      </c>
      <c r="E32" s="15">
        <v>1927</v>
      </c>
      <c r="F32" s="7" t="s">
        <v>9</v>
      </c>
      <c r="G32" s="22" t="s">
        <v>12</v>
      </c>
      <c r="H32" s="26"/>
    </row>
    <row r="33" spans="1:8" ht="18.75" customHeight="1" x14ac:dyDescent="0.15">
      <c r="A33" s="47"/>
      <c r="B33" s="6">
        <v>29</v>
      </c>
      <c r="C33" s="7" t="str">
        <f>"赤い鳥 19(1)7月号 第9周年記念＊ "</f>
        <v xml:space="preserve">赤い鳥 19(1)7月号 第9周年記念＊ </v>
      </c>
      <c r="D33" s="7" t="str">
        <f>""</f>
        <v/>
      </c>
      <c r="E33" s="15">
        <v>1927</v>
      </c>
      <c r="F33" s="7" t="s">
        <v>9</v>
      </c>
      <c r="G33" s="22" t="s">
        <v>12</v>
      </c>
      <c r="H33" s="26"/>
    </row>
    <row r="34" spans="1:8" ht="30" customHeight="1" x14ac:dyDescent="0.15">
      <c r="A34" s="47"/>
      <c r="B34" s="6">
        <v>30</v>
      </c>
      <c r="C34" s="9" t="str">
        <f>"ピーター・パン : CELEBRATED WORKS IN ENGLISH(英文名作文庫 第4輯第9巻) "</f>
        <v xml:space="preserve">ピーター・パン : CELEBRATED WORKS IN ENGLISH(英文名作文庫 第4輯第9巻) </v>
      </c>
      <c r="D34" s="7" t="str">
        <f>"ジェームス・バリー∥著 三好/十郎∥訳註"</f>
        <v>ジェームス・バリー∥著 三好/十郎∥訳註</v>
      </c>
      <c r="E34" s="15" t="str">
        <f>"1929"</f>
        <v>1929</v>
      </c>
      <c r="F34" s="7" t="str">
        <f>"英文学社/発兌"</f>
        <v>英文学社/発兌</v>
      </c>
      <c r="G34" s="22" t="str">
        <f>"N291005/1"</f>
        <v>N291005/1</v>
      </c>
      <c r="H34" s="26"/>
    </row>
    <row r="35" spans="1:8" ht="30" customHeight="1" x14ac:dyDescent="0.15">
      <c r="A35" s="47"/>
      <c r="B35" s="6">
        <v>31</v>
      </c>
      <c r="C35" s="9" t="s">
        <v>25</v>
      </c>
      <c r="D35" s="7" t="s">
        <v>26</v>
      </c>
      <c r="E35" s="57">
        <v>1931</v>
      </c>
      <c r="F35" s="56" t="s">
        <v>27</v>
      </c>
      <c r="G35" s="22" t="s">
        <v>28</v>
      </c>
      <c r="H35" s="26"/>
    </row>
    <row r="36" spans="1:8" ht="18.75" customHeight="1" x14ac:dyDescent="0.15">
      <c r="A36" s="47"/>
      <c r="B36" s="6">
        <v>32</v>
      </c>
      <c r="C36" s="7" t="str">
        <f>"ピーター・パン(少年少女世界文庫 第6編) "</f>
        <v xml:space="preserve">ピーター・パン(少年少女世界文庫 第6編) </v>
      </c>
      <c r="D36" s="7" t="str">
        <f>"ヂェイ・エム・バリ∥原作 宍戸/儀一∥訳 硲/伊之助∥画"</f>
        <v>ヂェイ・エム・バリ∥原作 宍戸/儀一∥訳 硲/伊之助∥画</v>
      </c>
      <c r="E36" s="15" t="str">
        <f>"1936"</f>
        <v>1936</v>
      </c>
      <c r="F36" s="7" t="str">
        <f>"小山書店"</f>
        <v>小山書店</v>
      </c>
      <c r="G36" s="22" t="str">
        <f>"N360601/1-6"</f>
        <v>N360601/1-6</v>
      </c>
      <c r="H36" s="26"/>
    </row>
    <row r="37" spans="1:8" ht="18.75" customHeight="1" x14ac:dyDescent="0.15">
      <c r="A37" s="47"/>
      <c r="B37" s="6">
        <v>33</v>
      </c>
      <c r="C37" s="7" t="str">
        <f>"ピイタアパン物語(少国民世界文学叢書 第1編) "</f>
        <v xml:space="preserve">ピイタアパン物語(少国民世界文学叢書 第1編) </v>
      </c>
      <c r="D37" s="7" t="str">
        <f>"バリー∥著 小川/芳男∥訳 玉井/徳太郎∥挿絵"</f>
        <v>バリー∥著 小川/芳男∥訳 玉井/徳太郎∥挿絵</v>
      </c>
      <c r="E37" s="15" t="str">
        <f>"1946"</f>
        <v>1946</v>
      </c>
      <c r="F37" s="7" t="str">
        <f>"新少国民社"</f>
        <v>新少国民社</v>
      </c>
      <c r="G37" s="22" t="str">
        <f>"N460510/3-1"</f>
        <v>N460510/3-1</v>
      </c>
      <c r="H37" s="26"/>
    </row>
    <row r="38" spans="1:8" ht="18.75" customHeight="1" x14ac:dyDescent="0.15">
      <c r="A38" s="47"/>
      <c r="B38" s="6">
        <v>34</v>
      </c>
      <c r="C38" s="7" t="str">
        <f>"ピーターパン "</f>
        <v xml:space="preserve">ピーターパン </v>
      </c>
      <c r="D38" s="20" t="str">
        <f>"船田/小常∥訳 菊池/寛∥校閲 宮田/重雄∥口絵・装幀 [ジエームス・バリー∥原作]"</f>
        <v>船田/小常∥訳 菊池/寛∥校閲 宮田/重雄∥口絵・装幀 [ジエームス・バリー∥原作]</v>
      </c>
      <c r="E38" s="15" t="str">
        <f>"1946"</f>
        <v>1946</v>
      </c>
      <c r="F38" s="7" t="str">
        <f>"愛文館"</f>
        <v>愛文館</v>
      </c>
      <c r="G38" s="22" t="str">
        <f>"N460525/4"</f>
        <v>N460525/4</v>
      </c>
      <c r="H38" s="26"/>
    </row>
    <row r="39" spans="1:8" ht="18.75" customHeight="1" x14ac:dyDescent="0.15">
      <c r="A39" s="47"/>
      <c r="B39" s="6">
        <v>35</v>
      </c>
      <c r="C39" s="7" t="str">
        <f>"絵ものがたり ピーター・パン "</f>
        <v xml:space="preserve">絵ものがたり ピーター・パン </v>
      </c>
      <c r="D39" s="7" t="str">
        <f>"井口/文秀∥著 [ジエームス・バリ∥原作]"</f>
        <v>井口/文秀∥著 [ジエームス・バリ∥原作]</v>
      </c>
      <c r="E39" s="15" t="str">
        <f>"1948"</f>
        <v>1948</v>
      </c>
      <c r="F39" s="7" t="str">
        <f>"傅育出版社"</f>
        <v>傅育出版社</v>
      </c>
      <c r="G39" s="22" t="str">
        <f>"N480520/10"</f>
        <v>N480520/10</v>
      </c>
      <c r="H39" s="26"/>
    </row>
    <row r="40" spans="1:8" ht="18.75" customHeight="1" x14ac:dyDescent="0.15">
      <c r="A40" s="47"/>
      <c r="B40" s="6">
        <v>36</v>
      </c>
      <c r="C40" s="7" t="str">
        <f>"ピーターパン物語(カバヤ児童文庫 4巻9号)"</f>
        <v>ピーターパン物語(カバヤ児童文庫 4巻9号)</v>
      </c>
      <c r="D40" s="7" t="str">
        <f>"カバヤ児童文化研究所∥編"</f>
        <v>カバヤ児童文化研究所∥編</v>
      </c>
      <c r="E40" s="15" t="str">
        <f>"1953"</f>
        <v>1953</v>
      </c>
      <c r="F40" s="7" t="str">
        <f>"カバヤ児童文化研究所"</f>
        <v>カバヤ児童文化研究所</v>
      </c>
      <c r="G40" s="22" t="str">
        <f>"N520803/1-4-9"</f>
        <v>N520803/1-4-9</v>
      </c>
      <c r="H40" s="26"/>
    </row>
    <row r="41" spans="1:8" ht="30" customHeight="1" x14ac:dyDescent="0.15">
      <c r="A41" s="47"/>
      <c r="B41" s="6">
        <v>37</v>
      </c>
      <c r="C41" s="7" t="str">
        <f>"名作まんが ピーターパン(おもしろブック付録 5巻9号 8月号) "</f>
        <v xml:space="preserve">名作まんが ピーターパン(おもしろブック付録 5巻9号 8月号) </v>
      </c>
      <c r="D41" s="7" t="str">
        <f>"田中/ひさゆき∥作"</f>
        <v>田中/ひさゆき∥作</v>
      </c>
      <c r="E41" s="15" t="str">
        <f>"1953"</f>
        <v>1953</v>
      </c>
      <c r="F41" s="7" t="str">
        <f>"集英社"</f>
        <v>集英社</v>
      </c>
      <c r="G41" s="22" t="str">
        <f>"FA/42-05009"</f>
        <v>FA/42-05009</v>
      </c>
      <c r="H41" s="26"/>
    </row>
    <row r="42" spans="1:8" ht="30" customHeight="1" thickBot="1" x14ac:dyDescent="0.2">
      <c r="A42" s="47"/>
      <c r="B42" s="58">
        <v>38</v>
      </c>
      <c r="C42" s="59" t="str">
        <f>"ぴーたーぱん : ジャングルブックほか(藤子・F・不二雄大全集 [39]) "</f>
        <v xml:space="preserve">ぴーたーぱん : ジャングルブックほか(藤子・F・不二雄大全集 [39]) </v>
      </c>
      <c r="D42" s="59" t="str">
        <f>"藤子・F・不二雄∥[作] 佐々木/多利爾∥装丁"</f>
        <v>藤子・F・不二雄∥[作] 佐々木/多利爾∥装丁</v>
      </c>
      <c r="E42" s="60" t="str">
        <f>"2013"</f>
        <v>2013</v>
      </c>
      <c r="F42" s="59" t="str">
        <f>"小学館"</f>
        <v>小学館</v>
      </c>
      <c r="G42" s="61" t="str">
        <f>"CL/6448N"</f>
        <v>CL/6448N</v>
      </c>
      <c r="H42" s="62"/>
    </row>
    <row r="43" spans="1:8" ht="30" customHeight="1" x14ac:dyDescent="0.15">
      <c r="A43" s="46" t="s">
        <v>18</v>
      </c>
      <c r="B43" s="65">
        <v>39</v>
      </c>
      <c r="C43" s="11" t="str">
        <f>"PETER PAN OR THE BOY WHO WOULD NOT GROW UP : THE PLAYS OF J.M.BARRIE "</f>
        <v xml:space="preserve">PETER PAN OR THE BOY WHO WOULD NOT GROW UP : THE PLAYS OF J.M.BARRIE </v>
      </c>
      <c r="D43" s="11" t="str">
        <f>"J.M.BARRIE/by"</f>
        <v>J.M.BARRIE/by</v>
      </c>
      <c r="E43" s="17" t="str">
        <f>"1928"</f>
        <v>1928</v>
      </c>
      <c r="F43" s="11" t="str">
        <f>"HODDER AND STOUGHTON"</f>
        <v>HODDER AND STOUGHTON</v>
      </c>
      <c r="G43" s="24" t="str">
        <f>"001_ABB/3586"</f>
        <v>001_ABB/3586</v>
      </c>
      <c r="H43" s="66"/>
    </row>
    <row r="44" spans="1:8" ht="30" customHeight="1" x14ac:dyDescent="0.15">
      <c r="A44" s="47"/>
      <c r="B44" s="6">
        <v>40</v>
      </c>
      <c r="C44" s="9" t="s">
        <v>6</v>
      </c>
      <c r="D44" s="7" t="str">
        <f>"Bruce K.Hanson/by"</f>
        <v>Bruce K.Hanson/by</v>
      </c>
      <c r="E44" s="15" t="str">
        <f>"1993"</f>
        <v>1993</v>
      </c>
      <c r="F44" s="7" t="str">
        <f>"BIRCH LANE PRESS"</f>
        <v>BIRCH LANE PRESS</v>
      </c>
      <c r="G44" s="22" t="str">
        <f>"001_ABA/2226"</f>
        <v>001_ABA/2226</v>
      </c>
      <c r="H44" s="69"/>
    </row>
    <row r="45" spans="1:8" ht="30" customHeight="1" x14ac:dyDescent="0.15">
      <c r="A45" s="47"/>
      <c r="B45" s="6">
        <v>41</v>
      </c>
      <c r="C45" s="7" t="str">
        <f>"PETER PAN or The Boy Who Would Not Grow Up : A Fantasy in Five Acts "</f>
        <v xml:space="preserve">PETER PAN or The Boy Who Would Not Grow Up : A Fantasy in Five Acts </v>
      </c>
      <c r="D45" s="7" t="str">
        <f>"J.M.BARRIE/BY JOHN CAIRD/IN A NEW VERSION BY TREVOR NUNN/IN A NEW VERSION BY"</f>
        <v>J.M.BARRIE/BY JOHN CAIRD/IN A NEW VERSION BY TREVOR NUNN/IN A NEW VERSION BY</v>
      </c>
      <c r="E45" s="18" t="s">
        <v>7</v>
      </c>
      <c r="F45" s="7" t="str">
        <f>"DRAMATISTS PLAY SERVICE"</f>
        <v>DRAMATISTS PLAY SERVICE</v>
      </c>
      <c r="G45" s="22" t="str">
        <f>"001_ABB/3581"</f>
        <v>001_ABB/3581</v>
      </c>
      <c r="H45" s="69"/>
    </row>
    <row r="46" spans="1:8" ht="39.950000000000003" customHeight="1" x14ac:dyDescent="0.15">
      <c r="A46" s="47"/>
      <c r="B46" s="6">
        <v>42</v>
      </c>
      <c r="C46" s="9" t="str">
        <f>"PETER PAN OR THE BOY WHO WOULD NOT GROW UP : A Fantasy in Five Acts(Methuen Drama Royal National Theatre )"</f>
        <v>PETER PAN OR THE BOY WHO WOULD NOT GROW UP : A Fantasy in Five Acts(Methuen Drama Royal National Theatre )</v>
      </c>
      <c r="D46" s="7" t="str">
        <f>"J.M.BARRIE/by JOHN CAIRD/in a new version by TREVOR NUNN/in a new version by"</f>
        <v>J.M.BARRIE/by JOHN CAIRD/in a new version by TREVOR NUNN/in a new version by</v>
      </c>
      <c r="E46" s="15" t="str">
        <f>"1998"</f>
        <v>1998</v>
      </c>
      <c r="F46" s="7" t="str">
        <f>"Methuen"</f>
        <v>Methuen</v>
      </c>
      <c r="G46" s="22" t="str">
        <f>"001_ABB/3592"</f>
        <v>001_ABB/3592</v>
      </c>
      <c r="H46" s="69"/>
    </row>
    <row r="47" spans="1:8" ht="18.75" customHeight="1" x14ac:dyDescent="0.15">
      <c r="A47" s="47"/>
      <c r="B47" s="6">
        <v>43</v>
      </c>
      <c r="C47" s="7" t="str">
        <f>"さらっていってよピーターパン "</f>
        <v xml:space="preserve">さらっていってよピーターパン </v>
      </c>
      <c r="D47" s="7" t="str">
        <f>"別役/実∥著 奥定/泰之∥装丁"</f>
        <v>別役/実∥著 奥定/泰之∥装丁</v>
      </c>
      <c r="E47" s="15" t="str">
        <f>"2011"</f>
        <v>2011</v>
      </c>
      <c r="F47" s="7" t="str">
        <f>"論創社"</f>
        <v>論創社</v>
      </c>
      <c r="G47" s="22" t="str">
        <f>"T110310/14"</f>
        <v>T110310/14</v>
      </c>
      <c r="H47" s="69"/>
    </row>
    <row r="48" spans="1:8" ht="18.75" customHeight="1" x14ac:dyDescent="0.15">
      <c r="A48" s="47"/>
      <c r="B48" s="6">
        <v>44</v>
      </c>
      <c r="C48" s="7" t="str">
        <f>"ピーター・パン(ディズニーアニメ小説版 16) "</f>
        <v xml:space="preserve">ピーター・パン(ディズニーアニメ小説版 16) </v>
      </c>
      <c r="D48" s="9" t="str">
        <f>"ジェームズ・マシュー・バリー∥原作 トッド・ストラッサー∥作 橘高/弓枝∥訳"</f>
        <v>ジェームズ・マシュー・バリー∥原作 トッド・ストラッサー∥作 橘高/弓枝∥訳</v>
      </c>
      <c r="E48" s="15" t="str">
        <f>"1998"</f>
        <v>1998</v>
      </c>
      <c r="F48" s="7" t="str">
        <f>"偕成社"</f>
        <v>偕成社</v>
      </c>
      <c r="G48" s="22" t="str">
        <f>"N970500/9-16"</f>
        <v>N970500/9-16</v>
      </c>
      <c r="H48" s="69"/>
    </row>
    <row r="49" spans="1:8" ht="18.75" customHeight="1" x14ac:dyDescent="0.15">
      <c r="A49" s="47"/>
      <c r="B49" s="6">
        <v>45</v>
      </c>
      <c r="C49" s="7" t="str">
        <f>"フック(ジュニア新書) "</f>
        <v xml:space="preserve">フック(ジュニア新書) </v>
      </c>
      <c r="D49" s="7" t="str">
        <f>"ギアリー・グラヴェル∥著 坂本/憲一∥訳"</f>
        <v>ギアリー・グラヴェル∥著 坂本/憲一∥訳</v>
      </c>
      <c r="E49" s="15" t="str">
        <f>"1992"</f>
        <v>1992</v>
      </c>
      <c r="F49" s="7" t="str">
        <f>"ソニー・マガジンズ"</f>
        <v>ソニー・マガジンズ</v>
      </c>
      <c r="G49" s="22" t="str">
        <f>"N920715/8"</f>
        <v>N920715/8</v>
      </c>
      <c r="H49" s="69"/>
    </row>
    <row r="50" spans="1:8" ht="18.75" customHeight="1" x14ac:dyDescent="0.15">
      <c r="A50" s="47"/>
      <c r="B50" s="6">
        <v>46</v>
      </c>
      <c r="C50" s="9" t="str">
        <f>"ピーターパンの冒険 上(学研・ひとりよみ名作 51) "</f>
        <v xml:space="preserve">ピーターパンの冒険 上(学研・ひとりよみ名作 51) </v>
      </c>
      <c r="D50" s="7" t="str">
        <f>"バリ∥さく 田中/史子∥ぶん 木村/光雄∥え"</f>
        <v>バリ∥さく 田中/史子∥ぶん 木村/光雄∥え</v>
      </c>
      <c r="E50" s="15" t="str">
        <f>"1989"</f>
        <v>1989</v>
      </c>
      <c r="F50" s="7" t="str">
        <f>"学習研究社"</f>
        <v>学習研究社</v>
      </c>
      <c r="G50" s="22" t="str">
        <f>"N780501/3-51/4"</f>
        <v>N780501/3-51/4</v>
      </c>
      <c r="H50" s="69"/>
    </row>
    <row r="51" spans="1:8" ht="18.75" customHeight="1" x14ac:dyDescent="0.15">
      <c r="A51" s="47"/>
      <c r="B51" s="6">
        <v>47</v>
      </c>
      <c r="C51" s="9" t="str">
        <f>"ピーターパンの冒険 下(学研・ひとりよみ名作 52) "</f>
        <v xml:space="preserve">ピーターパンの冒険 下(学研・ひとりよみ名作 52) </v>
      </c>
      <c r="D51" s="7" t="str">
        <f>"バリー∥さく 田中/史子∥ぶん 木村/光雄∥え"</f>
        <v>バリー∥さく 田中/史子∥ぶん 木村/光雄∥え</v>
      </c>
      <c r="E51" s="15" t="str">
        <f>"1989"</f>
        <v>1989</v>
      </c>
      <c r="F51" s="7" t="str">
        <f>"学習研究社"</f>
        <v>学習研究社</v>
      </c>
      <c r="G51" s="22" t="str">
        <f>"N780501/3-52/6"</f>
        <v>N780501/3-52/6</v>
      </c>
      <c r="H51" s="69"/>
    </row>
    <row r="52" spans="1:8" ht="30" customHeight="1" thickBot="1" x14ac:dyDescent="0.2">
      <c r="A52" s="48"/>
      <c r="B52" s="67">
        <v>48</v>
      </c>
      <c r="C52" s="10" t="str">
        <f>"ピーター・パン(竹書房文庫 DR-108) "</f>
        <v xml:space="preserve">ピーター・パン(竹書房文庫 DR-108) </v>
      </c>
      <c r="D52" s="10" t="str">
        <f>"J・M・バリ∥原作 P・J・ホーガン∥脚本 マイケル・ゴールデンバーグ∥脚本 アリス・アルフォンシ∥ノベライズ 清水/由貴子∥訳"</f>
        <v>J・M・バリ∥原作 P・J・ホーガン∥脚本 マイケル・ゴールデンバーグ∥脚本 アリス・アルフォンシ∥ノベライズ 清水/由貴子∥訳</v>
      </c>
      <c r="E52" s="16" t="str">
        <f>"2004"</f>
        <v>2004</v>
      </c>
      <c r="F52" s="10" t="str">
        <f>"竹書房"</f>
        <v>竹書房</v>
      </c>
      <c r="G52" s="23" t="str">
        <f>"T040417/5"</f>
        <v>T040417/5</v>
      </c>
      <c r="H52" s="68"/>
    </row>
    <row r="53" spans="1:8" ht="18.75" customHeight="1" x14ac:dyDescent="0.15">
      <c r="A53" s="46" t="s">
        <v>19</v>
      </c>
      <c r="B53" s="65">
        <v>49</v>
      </c>
      <c r="C53" s="11" t="str">
        <f>"ピーター・パン(講談社の二年生文庫 30) "</f>
        <v xml:space="preserve">ピーター・パン(講談社の二年生文庫 30) </v>
      </c>
      <c r="D53" s="11" t="str">
        <f>"J・バリ∥原作 筒井/敬介∥文 杉全/直∥絵"</f>
        <v>J・バリ∥原作 筒井/敬介∥文 杉全/直∥絵</v>
      </c>
      <c r="E53" s="17" t="str">
        <f>"1957"</f>
        <v>1957</v>
      </c>
      <c r="F53" s="11" t="str">
        <f>"講談社"</f>
        <v>講談社</v>
      </c>
      <c r="G53" s="24" t="str">
        <f>"N56..../3-2-30"</f>
        <v>N56..../3-2-30</v>
      </c>
      <c r="H53" s="66"/>
    </row>
    <row r="54" spans="1:8" ht="18.75" customHeight="1" x14ac:dyDescent="0.15">
      <c r="A54" s="47"/>
      <c r="B54" s="6">
        <v>50</v>
      </c>
      <c r="C54" s="7" t="str">
        <f>"ピーターパン(講談社の絵本・ゴールド版 36) "</f>
        <v xml:space="preserve">ピーターパン(講談社の絵本・ゴールド版 36) </v>
      </c>
      <c r="D54" s="7" t="str">
        <f>"ジェームズ/バリ∥原作 矢車/涼∥絵 与田/準一∥文"</f>
        <v>ジェームズ/バリ∥原作 矢車/涼∥絵 与田/準一∥文</v>
      </c>
      <c r="E54" s="15" t="str">
        <f>"1960"</f>
        <v>1960</v>
      </c>
      <c r="F54" s="7" t="str">
        <f>"講談社"</f>
        <v>講談社</v>
      </c>
      <c r="G54" s="22" t="str">
        <f>"N581201/5-36"</f>
        <v>N581201/5-36</v>
      </c>
      <c r="H54" s="69"/>
    </row>
    <row r="55" spans="1:8" ht="18.75" customHeight="1" x14ac:dyDescent="0.15">
      <c r="A55" s="47"/>
      <c r="B55" s="6">
        <v>51</v>
      </c>
      <c r="C55" s="7" t="str">
        <f>"ピーター=パン(講談社のディズニー絵本 7) "</f>
        <v xml:space="preserve">ピーター=パン(講談社のディズニー絵本 7) </v>
      </c>
      <c r="D55" s="7" t="str">
        <f>"ウォルト・ディズニー∥絵 川崎/大治∥文"</f>
        <v>ウォルト・ディズニー∥絵 川崎/大治∥文</v>
      </c>
      <c r="E55" s="15" t="str">
        <f>"1960"</f>
        <v>1960</v>
      </c>
      <c r="F55" s="7" t="str">
        <f>"講談社"</f>
        <v>講談社</v>
      </c>
      <c r="G55" s="22" t="str">
        <f>"N600915/1-7"</f>
        <v>N600915/1-7</v>
      </c>
      <c r="H55" s="69"/>
    </row>
    <row r="56" spans="1:8" ht="18.75" customHeight="1" x14ac:dyDescent="0.15">
      <c r="A56" s="47"/>
      <c r="B56" s="6">
        <v>52</v>
      </c>
      <c r="C56" s="7" t="str">
        <f>"ピーター・パン 前編(世界童話紙芝居百選 7) "</f>
        <v xml:space="preserve">ピーター・パン 前編(世界童話紙芝居百選 7) </v>
      </c>
      <c r="D56" s="7" t="str">
        <f>"ジェームス・バリ∥原作 堀尾/勉∥脚色 神成/澪∥美術"</f>
        <v>ジェームス・バリ∥原作 堀尾/勉∥脚色 神成/澪∥美術</v>
      </c>
      <c r="E56" s="15" t="str">
        <f>"1953"</f>
        <v>1953</v>
      </c>
      <c r="F56" s="7" t="str">
        <f>"グリム館"</f>
        <v>グリム館</v>
      </c>
      <c r="G56" s="22" t="str">
        <f>"HA/131"</f>
        <v>HA/131</v>
      </c>
      <c r="H56" s="69"/>
    </row>
    <row r="57" spans="1:8" ht="18.75" customHeight="1" x14ac:dyDescent="0.15">
      <c r="A57" s="47"/>
      <c r="B57" s="6">
        <v>53</v>
      </c>
      <c r="C57" s="7" t="str">
        <f>"ピーター・パン 後編(世界童話紙芝居百選 8) "</f>
        <v xml:space="preserve">ピーター・パン 後編(世界童話紙芝居百選 8) </v>
      </c>
      <c r="D57" s="7" t="str">
        <f>"ジェームス・バリ∥原作 堀尾/勉∥脚色 神成/澪∥美術"</f>
        <v>ジェームス・バリ∥原作 堀尾/勉∥脚色 神成/澪∥美術</v>
      </c>
      <c r="E57" s="15" t="str">
        <f>"1953"</f>
        <v>1953</v>
      </c>
      <c r="F57" s="7" t="str">
        <f>"グリム館"</f>
        <v>グリム館</v>
      </c>
      <c r="G57" s="22" t="str">
        <f>"HA/132"</f>
        <v>HA/132</v>
      </c>
      <c r="H57" s="69"/>
    </row>
    <row r="58" spans="1:8" ht="30" customHeight="1" x14ac:dyDescent="0.15">
      <c r="A58" s="47"/>
      <c r="B58" s="6">
        <v>54</v>
      </c>
      <c r="C58" s="7" t="str">
        <f>"ピーター・パン 前編(チャイルド絵本館[Ⅱ]世界の名作 4) "</f>
        <v xml:space="preserve">ピーター・パン 前編(チャイルド絵本館[Ⅱ]世界の名作 4) </v>
      </c>
      <c r="D58" s="7" t="str">
        <f>"バリー∥作 小池/タミ子∥文 松浦/秀昭∥絵"</f>
        <v>バリー∥作 小池/タミ子∥文 松浦/秀昭∥絵</v>
      </c>
      <c r="E58" s="15" t="str">
        <f>"1982"</f>
        <v>1982</v>
      </c>
      <c r="F58" s="7" t="str">
        <f>"チャイルド本社"</f>
        <v>チャイルド本社</v>
      </c>
      <c r="G58" s="22" t="str">
        <f>"N810401/2-B-4"</f>
        <v>N810401/2-B-4</v>
      </c>
      <c r="H58" s="69"/>
    </row>
    <row r="59" spans="1:8" ht="30" customHeight="1" x14ac:dyDescent="0.15">
      <c r="A59" s="47"/>
      <c r="B59" s="6">
        <v>55</v>
      </c>
      <c r="C59" s="7" t="str">
        <f>"ピーター・パン 後編(チャイルド絵本館[Ⅱ]世界の名作 5) "</f>
        <v xml:space="preserve">ピーター・パン 後編(チャイルド絵本館[Ⅱ]世界の名作 5) </v>
      </c>
      <c r="D59" s="7" t="str">
        <f>"バリー∥作 小池/タミ子∥文 松浦/秀昭∥絵"</f>
        <v>バリー∥作 小池/タミ子∥文 松浦/秀昭∥絵</v>
      </c>
      <c r="E59" s="15" t="str">
        <f>"1982"</f>
        <v>1982</v>
      </c>
      <c r="F59" s="7" t="str">
        <f>"チャイルド本社"</f>
        <v>チャイルド本社</v>
      </c>
      <c r="G59" s="22" t="str">
        <f>"N810401/2-B-5"</f>
        <v>N810401/2-B-5</v>
      </c>
      <c r="H59" s="69"/>
    </row>
    <row r="60" spans="1:8" ht="30" customHeight="1" x14ac:dyDescent="0.15">
      <c r="A60" s="47"/>
      <c r="B60" s="6">
        <v>56</v>
      </c>
      <c r="C60" s="7" t="str">
        <f>"Peter Pan : based on the book by Sir James M. Barrie "</f>
        <v xml:space="preserve">Peter Pan : based on the book by Sir James M. Barrie </v>
      </c>
      <c r="D60" s="7" t="str">
        <f>"James M. Barrie/by Borje Svensson/illus. John Strejan/paper engineering Keith Moseley/paper engineering"</f>
        <v>James M. Barrie/by Borje Svensson/illus. John Strejan/paper engineering Keith Moseley/paper engineering</v>
      </c>
      <c r="E60" s="15" t="str">
        <f>"1983"</f>
        <v>1983</v>
      </c>
      <c r="F60" s="7" t="str">
        <f>"Hodder and Stou"</f>
        <v>Hodder and Stou</v>
      </c>
      <c r="G60" s="22" t="str">
        <f>"001_ABC/642"</f>
        <v>001_ABC/642</v>
      </c>
      <c r="H60" s="69"/>
    </row>
    <row r="61" spans="1:8" ht="18.75" customHeight="1" x14ac:dyDescent="0.15">
      <c r="A61" s="47"/>
      <c r="B61" s="6">
        <v>57</v>
      </c>
      <c r="C61" s="7" t="str">
        <f>"Peter Pan "</f>
        <v xml:space="preserve">Peter Pan </v>
      </c>
      <c r="D61" s="7" t="str">
        <f>"J. M. Barrie/by Maraja/illus."</f>
        <v>J. M. Barrie/by Maraja/illus.</v>
      </c>
      <c r="E61" s="15" t="str">
        <f>"1953"</f>
        <v>1953</v>
      </c>
      <c r="F61" s="7" t="str">
        <f>"Grosset &amp; Dunla"</f>
        <v>Grosset &amp; Dunla</v>
      </c>
      <c r="G61" s="22" t="str">
        <f>"001_ABB/955"</f>
        <v>001_ABB/955</v>
      </c>
      <c r="H61" s="69"/>
    </row>
    <row r="62" spans="1:8" ht="18.75" customHeight="1" x14ac:dyDescent="0.15">
      <c r="A62" s="47"/>
      <c r="B62" s="6">
        <v>58</v>
      </c>
      <c r="C62" s="7" t="str">
        <f>"Peter Pan : 100TH ANNIVERSARY EDITION "</f>
        <v xml:space="preserve">Peter Pan : 100TH ANNIVERSARY EDITION </v>
      </c>
      <c r="D62" s="7" t="str">
        <f>"J.M.Barrie/by Michael Hague/ILLUSTRATED BY"</f>
        <v>J.M.Barrie/by Michael Hague/ILLUSTRATED BY</v>
      </c>
      <c r="E62" s="15" t="str">
        <f>"1987"</f>
        <v>1987</v>
      </c>
      <c r="F62" s="7" t="str">
        <f>"Henry Holt and Company"</f>
        <v>Henry Holt and Company</v>
      </c>
      <c r="G62" s="22" t="str">
        <f>"001_ABB/3584"</f>
        <v>001_ABB/3584</v>
      </c>
      <c r="H62" s="69"/>
    </row>
    <row r="63" spans="1:8" ht="18.75" customHeight="1" x14ac:dyDescent="0.15">
      <c r="A63" s="47"/>
      <c r="B63" s="6">
        <v>59</v>
      </c>
      <c r="C63" s="7" t="str">
        <f>"Peter Pan &amp; Wendy "</f>
        <v xml:space="preserve">Peter Pan &amp; Wendy </v>
      </c>
      <c r="D63" s="7" t="str">
        <f>"J. M. Barrie/[by] Michael Foreman/illus."</f>
        <v>J. M. Barrie/[by] Michael Foreman/illus.</v>
      </c>
      <c r="E63" s="15" t="str">
        <f>"1988"</f>
        <v>1988</v>
      </c>
      <c r="F63" s="7" t="str">
        <f>"C. N. Potter"</f>
        <v>C. N. Potter</v>
      </c>
      <c r="G63" s="22" t="str">
        <f>"001_ABB/957"</f>
        <v>001_ABB/957</v>
      </c>
      <c r="H63" s="69"/>
    </row>
    <row r="64" spans="1:8" ht="18.75" customHeight="1" thickBot="1" x14ac:dyDescent="0.2">
      <c r="A64" s="48"/>
      <c r="B64" s="67">
        <v>60</v>
      </c>
      <c r="C64" s="10" t="str">
        <f>"PETER PAN "</f>
        <v xml:space="preserve">PETER PAN </v>
      </c>
      <c r="D64" s="10" t="str">
        <f>"J.M.BARRIE/by Trina Schart Hyman/Illustrated by"</f>
        <v>J.M.BARRIE/by Trina Schart Hyman/Illustrated by</v>
      </c>
      <c r="E64" s="16" t="str">
        <f>"1980"</f>
        <v>1980</v>
      </c>
      <c r="F64" s="10" t="str">
        <f>"Charles Scribner’s Sons"</f>
        <v>Charles Scribner’s Sons</v>
      </c>
      <c r="G64" s="23" t="str">
        <f>"001_ABB/3580"</f>
        <v>001_ABB/3580</v>
      </c>
      <c r="H64" s="68"/>
    </row>
    <row r="65" spans="1:8" ht="18.75" customHeight="1" x14ac:dyDescent="0.15">
      <c r="A65" s="46" t="s">
        <v>22</v>
      </c>
      <c r="B65" s="65">
        <v>61</v>
      </c>
      <c r="C65" s="11" t="str">
        <f>"私のピーターパン "</f>
        <v xml:space="preserve">私のピーターパン </v>
      </c>
      <c r="D65" s="11" t="str">
        <f>"岡/愛子∥著 深沢/省三∥さしえ 深沢/紅子∥装幀"</f>
        <v>岡/愛子∥著 深沢/省三∥さしえ 深沢/紅子∥装幀</v>
      </c>
      <c r="E65" s="17" t="str">
        <f>"1946"</f>
        <v>1946</v>
      </c>
      <c r="F65" s="11" t="str">
        <f>"大地書房"</f>
        <v>大地書房</v>
      </c>
      <c r="G65" s="24" t="str">
        <f>"N461020/3/2"</f>
        <v>N461020/3/2</v>
      </c>
      <c r="H65" s="66"/>
    </row>
    <row r="66" spans="1:8" ht="30" customHeight="1" x14ac:dyDescent="0.15">
      <c r="A66" s="47"/>
      <c r="B66" s="6">
        <v>62</v>
      </c>
      <c r="C66" s="7" t="str">
        <f>"ピーター・パン 2 : ネバーランドの秘密(ディズニーアニメ小説版 47) "</f>
        <v xml:space="preserve">ピーター・パン 2 : ネバーランドの秘密(ディズニーアニメ小説版 47) </v>
      </c>
      <c r="D66" s="7" t="str">
        <f>"橘高/弓枝∥文"</f>
        <v>橘高/弓枝∥文</v>
      </c>
      <c r="E66" s="15" t="str">
        <f>"2002"</f>
        <v>2002</v>
      </c>
      <c r="F66" s="7" t="str">
        <f>"偕成社"</f>
        <v>偕成社</v>
      </c>
      <c r="G66" s="22" t="str">
        <f>"N970500/9-47"</f>
        <v>N970500/9-47</v>
      </c>
      <c r="H66" s="69"/>
    </row>
    <row r="67" spans="1:8" ht="18.75" customHeight="1" x14ac:dyDescent="0.15">
      <c r="A67" s="47"/>
      <c r="B67" s="6">
        <v>63</v>
      </c>
      <c r="C67" s="7" t="str">
        <f>"ティンカー・ベル(ディズニーアニメ小説版 74) "</f>
        <v xml:space="preserve">ティンカー・ベル(ディズニーアニメ小説版 74) </v>
      </c>
      <c r="D67" s="7" t="str">
        <f>"キンバリー・モリス∥作 橘高/弓枝∥訳"</f>
        <v>キンバリー・モリス∥作 橘高/弓枝∥訳</v>
      </c>
      <c r="E67" s="15" t="str">
        <f>"2008"</f>
        <v>2008</v>
      </c>
      <c r="F67" s="7" t="str">
        <f>"偕成社"</f>
        <v>偕成社</v>
      </c>
      <c r="G67" s="22" t="str">
        <f>"N970500/9-74"</f>
        <v>N970500/9-74</v>
      </c>
      <c r="H67" s="69"/>
    </row>
    <row r="68" spans="1:8" ht="30" customHeight="1" x14ac:dyDescent="0.15">
      <c r="A68" s="47"/>
      <c r="B68" s="6">
        <v>64</v>
      </c>
      <c r="C68" s="7" t="str">
        <f>"ピーターパン・症候群 1(りぼんマスコットコミックス 1631) "</f>
        <v xml:space="preserve">ピーターパン・症候群 1(りぼんマスコットコミックス 1631) </v>
      </c>
      <c r="D68" s="7" t="str">
        <f>"酒井/まゆ∥著"</f>
        <v>酒井/まゆ∥著</v>
      </c>
      <c r="E68" s="15" t="str">
        <f>"2005"</f>
        <v>2005</v>
      </c>
      <c r="F68" s="7" t="str">
        <f>"集英社"</f>
        <v>集英社</v>
      </c>
      <c r="G68" s="22" t="str">
        <f>"CS/4930"</f>
        <v>CS/4930</v>
      </c>
      <c r="H68" s="69"/>
    </row>
    <row r="69" spans="1:8" ht="18.75" customHeight="1" x14ac:dyDescent="0.15">
      <c r="A69" s="47"/>
      <c r="B69" s="6">
        <v>65</v>
      </c>
      <c r="C69" s="7" t="str">
        <f>"ティンカー・ベル(山岸凉子作品集 傑作集 2 8) "</f>
        <v xml:space="preserve">ティンカー・ベル(山岸凉子作品集 傑作集 2 8) </v>
      </c>
      <c r="D69" s="7" t="str">
        <f>"山岸/凉子∥著 羽良多/平吉∥装幀 WXY∥装幀"</f>
        <v>山岸/凉子∥著 羽良多/平吉∥装幀 WXY∥装幀</v>
      </c>
      <c r="E69" s="15" t="str">
        <f>"1984"</f>
        <v>1984</v>
      </c>
      <c r="F69" s="7" t="str">
        <f>"白泉社"</f>
        <v>白泉社</v>
      </c>
      <c r="G69" s="22" t="str">
        <f>"N840715/8-8"</f>
        <v>N840715/8-8</v>
      </c>
      <c r="H69" s="69"/>
    </row>
    <row r="70" spans="1:8" ht="18.75" customHeight="1" x14ac:dyDescent="0.15">
      <c r="A70" s="47"/>
      <c r="B70" s="6">
        <v>66</v>
      </c>
      <c r="C70" s="7" t="str">
        <f>"ピーター★パンインスカーレット "</f>
        <v xml:space="preserve">ピーター★パンインスカーレット </v>
      </c>
      <c r="D70" s="20" t="str">
        <f>"ジェラルディン・マコックラン∥作 こだま/ともこ∥訳  デイビット・ワイアット∥装画・挿絵"</f>
        <v>ジェラルディン・マコックラン∥作 こだま/ともこ∥訳  デイビット・ワイアット∥装画・挿絵</v>
      </c>
      <c r="E70" s="15" t="str">
        <f>"2006"</f>
        <v>2006</v>
      </c>
      <c r="F70" s="7" t="str">
        <f>"小学館"</f>
        <v>小学館</v>
      </c>
      <c r="G70" s="22" t="str">
        <f>"T061220/28"</f>
        <v>T061220/28</v>
      </c>
      <c r="H70" s="69"/>
    </row>
    <row r="71" spans="1:8" ht="18.75" customHeight="1" x14ac:dyDescent="0.15">
      <c r="A71" s="47"/>
      <c r="B71" s="6">
        <v>67</v>
      </c>
      <c r="C71" s="7" t="str">
        <f>"ピーターと星の守護団 上 "</f>
        <v xml:space="preserve">ピーターと星の守護団 上 </v>
      </c>
      <c r="D71" s="20" t="str">
        <f>"デイヴ・バリー∥著 リドリー・ピアスン∥著 海後/礼子∥訳 谷口/愛∥装画・挿画"</f>
        <v>デイヴ・バリー∥著 リドリー・ピアスン∥著 海後/礼子∥訳 谷口/愛∥装画・挿画</v>
      </c>
      <c r="E71" s="15" t="str">
        <f>"2007"</f>
        <v>2007</v>
      </c>
      <c r="F71" s="7" t="str">
        <f>"主婦の友社"</f>
        <v>主婦の友社</v>
      </c>
      <c r="G71" s="22" t="str">
        <f>"T070331/10-1"</f>
        <v>T070331/10-1</v>
      </c>
      <c r="H71" s="69"/>
    </row>
    <row r="72" spans="1:8" ht="18.75" customHeight="1" thickBot="1" x14ac:dyDescent="0.2">
      <c r="A72" s="48"/>
      <c r="B72" s="67">
        <v>68</v>
      </c>
      <c r="C72" s="10" t="str">
        <f>"ピーターと星の守護団 下 "</f>
        <v xml:space="preserve">ピーターと星の守護団 下 </v>
      </c>
      <c r="D72" s="45" t="str">
        <f>"デイヴ・バリー∥著 リドリー・ピアスン∥著 海後/礼子∥訳 谷口/愛∥装画・挿画"</f>
        <v>デイヴ・バリー∥著 リドリー・ピアスン∥著 海後/礼子∥訳 谷口/愛∥装画・挿画</v>
      </c>
      <c r="E72" s="16" t="str">
        <f>"2007"</f>
        <v>2007</v>
      </c>
      <c r="F72" s="10" t="str">
        <f>"主婦の友社"</f>
        <v>主婦の友社</v>
      </c>
      <c r="G72" s="23" t="str">
        <f>"T070331/10-2"</f>
        <v>T070331/10-2</v>
      </c>
      <c r="H72" s="68"/>
    </row>
    <row r="73" spans="1:8" ht="18.75" customHeight="1" x14ac:dyDescent="0.15">
      <c r="A73" s="64" t="s">
        <v>23</v>
      </c>
      <c r="B73" s="65">
        <v>69</v>
      </c>
      <c r="C73" s="11" t="str">
        <f>"ロスト・ボーイズ "</f>
        <v xml:space="preserve">ロスト・ボーイズ </v>
      </c>
      <c r="D73" s="11" t="str">
        <f>"アンドリュー・バーキン∥著 鈴木/重敏∥訳"</f>
        <v>アンドリュー・バーキン∥著 鈴木/重敏∥訳</v>
      </c>
      <c r="E73" s="17" t="str">
        <f>"1991"</f>
        <v>1991</v>
      </c>
      <c r="F73" s="11" t="str">
        <f>"新書館"</f>
        <v>新書館</v>
      </c>
      <c r="G73" s="24" t="str">
        <f>"N911225/7"</f>
        <v>N911225/7</v>
      </c>
      <c r="H73" s="66"/>
    </row>
    <row r="74" spans="1:8" ht="18.75" customHeight="1" thickBot="1" x14ac:dyDescent="0.2">
      <c r="A74" s="49"/>
      <c r="B74" s="67">
        <v>70</v>
      </c>
      <c r="C74" s="10" t="str">
        <f>"ピーター・パン写真集 : ネバーランドの少年たち "</f>
        <v xml:space="preserve">ピーター・パン写真集 : ネバーランドの少年たち </v>
      </c>
      <c r="D74" s="10" t="str">
        <f>"鈴木/重敏∥著"</f>
        <v>鈴木/重敏∥著</v>
      </c>
      <c r="E74" s="16" t="str">
        <f>"1989"</f>
        <v>1989</v>
      </c>
      <c r="F74" s="10" t="str">
        <f>"新書館"</f>
        <v>新書館</v>
      </c>
      <c r="G74" s="23" t="str">
        <f>"N891025/8"</f>
        <v>N891025/8</v>
      </c>
      <c r="H74" s="68"/>
    </row>
    <row r="75" spans="1:8" ht="18.75" customHeight="1" x14ac:dyDescent="0.15">
      <c r="D75" s="13"/>
      <c r="E75" s="19"/>
      <c r="F75" s="63" t="s">
        <v>24</v>
      </c>
      <c r="G75" s="63"/>
    </row>
    <row r="76" spans="1:8" x14ac:dyDescent="0.15">
      <c r="C76" s="13"/>
      <c r="D76" s="13"/>
      <c r="E76" s="19"/>
      <c r="F76" s="13"/>
      <c r="G76" s="29"/>
    </row>
    <row r="77" spans="1:8" ht="18.75" customHeight="1" x14ac:dyDescent="0.15"/>
    <row r="78" spans="1:8" x14ac:dyDescent="0.15">
      <c r="F78" s="13"/>
    </row>
  </sheetData>
  <mergeCells count="10">
    <mergeCell ref="A53:A64"/>
    <mergeCell ref="A65:A72"/>
    <mergeCell ref="A73:A74"/>
    <mergeCell ref="F75:G75"/>
    <mergeCell ref="A1:I1"/>
    <mergeCell ref="A2:D2"/>
    <mergeCell ref="A5:A9"/>
    <mergeCell ref="A10:A17"/>
    <mergeCell ref="A18:A42"/>
    <mergeCell ref="A43:A52"/>
  </mergeCells>
  <phoneticPr fontId="2"/>
  <printOptions horizontalCentered="1" verticalCentered="1"/>
  <pageMargins left="0" right="0" top="0" bottom="0.3937007874015748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貸出申込書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takedaas</cp:lastModifiedBy>
  <cp:lastPrinted>2016-06-16T01:14:09Z</cp:lastPrinted>
  <dcterms:created xsi:type="dcterms:W3CDTF">2016-05-26T06:16:47Z</dcterms:created>
  <dcterms:modified xsi:type="dcterms:W3CDTF">2024-12-01T05:24:15Z</dcterms:modified>
</cp:coreProperties>
</file>